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195" windowHeight="49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365" i="1" l="1"/>
  <c r="B364" i="1"/>
  <c r="B351" i="1"/>
  <c r="B352" i="1"/>
  <c r="B353" i="1"/>
  <c r="B354" i="1"/>
  <c r="B355" i="1"/>
  <c r="B356" i="1"/>
  <c r="B350" i="1"/>
  <c r="B339" i="1"/>
  <c r="C339" i="1" s="1"/>
  <c r="B340" i="1"/>
  <c r="C340" i="1" s="1"/>
  <c r="B341" i="1"/>
  <c r="C341" i="1" s="1"/>
  <c r="B342" i="1"/>
  <c r="C342" i="1" s="1"/>
  <c r="B343" i="1"/>
  <c r="C343" i="1" s="1"/>
  <c r="B344" i="1"/>
  <c r="C344" i="1" s="1"/>
  <c r="B338" i="1"/>
  <c r="C338" i="1" s="1"/>
  <c r="U300" i="1"/>
  <c r="V300" i="1" s="1"/>
  <c r="U299" i="1"/>
  <c r="V299" i="1" s="1"/>
  <c r="B297" i="1"/>
  <c r="B294" i="1"/>
  <c r="B281" i="1"/>
  <c r="B280" i="1"/>
  <c r="B279" i="1"/>
  <c r="B278" i="1"/>
  <c r="B247" i="1"/>
  <c r="U239" i="1"/>
  <c r="U240" i="1"/>
  <c r="U241" i="1"/>
  <c r="U242" i="1"/>
  <c r="U243" i="1"/>
  <c r="U244" i="1"/>
  <c r="U245" i="1"/>
  <c r="U238" i="1"/>
  <c r="U248" i="1" s="1"/>
  <c r="B235" i="1"/>
  <c r="B231" i="1"/>
  <c r="B223" i="1"/>
  <c r="D214" i="1"/>
  <c r="B206" i="1"/>
  <c r="U206" i="1"/>
  <c r="T206" i="1"/>
  <c r="G191" i="1"/>
  <c r="B126" i="1"/>
  <c r="B125" i="1"/>
  <c r="B124" i="1"/>
  <c r="B119" i="1"/>
  <c r="B118" i="1"/>
  <c r="B117" i="1"/>
  <c r="C112" i="1"/>
  <c r="B112" i="1"/>
  <c r="C108" i="1"/>
  <c r="B108" i="1"/>
  <c r="V90" i="1"/>
  <c r="U90" i="1"/>
  <c r="T89" i="1"/>
  <c r="T90" i="1" s="1"/>
  <c r="B82" i="1"/>
  <c r="B84" i="1" s="1"/>
  <c r="C79" i="1"/>
  <c r="B79" i="1"/>
  <c r="W69" i="1"/>
  <c r="B52" i="1"/>
  <c r="B50" i="1"/>
  <c r="C48" i="1"/>
  <c r="B48" i="1"/>
  <c r="W43" i="1"/>
  <c r="C44" i="1"/>
  <c r="B44" i="1"/>
  <c r="W2" i="1"/>
  <c r="W3" i="1" s="1"/>
  <c r="W4" i="1" s="1"/>
  <c r="U247" i="1" l="1"/>
  <c r="U250" i="1" s="1"/>
</calcChain>
</file>

<file path=xl/sharedStrings.xml><?xml version="1.0" encoding="utf-8"?>
<sst xmlns="http://schemas.openxmlformats.org/spreadsheetml/2006/main" count="204" uniqueCount="125">
  <si>
    <t>Homework 4</t>
  </si>
  <si>
    <t>Question 1</t>
  </si>
  <si>
    <t>Q1 data</t>
  </si>
  <si>
    <t>ave =</t>
  </si>
  <si>
    <t>z =</t>
  </si>
  <si>
    <t>p-value =</t>
  </si>
  <si>
    <t>Question 2</t>
  </si>
  <si>
    <t>a)</t>
  </si>
  <si>
    <t>Q2 data</t>
  </si>
  <si>
    <t>ave</t>
  </si>
  <si>
    <t>Question 3</t>
  </si>
  <si>
    <t>P-value =</t>
  </si>
  <si>
    <t>Reject the null hypotehsis, there is significant….</t>
  </si>
  <si>
    <t>Question 4</t>
  </si>
  <si>
    <t>Q4 data</t>
  </si>
  <si>
    <t>obs</t>
  </si>
  <si>
    <t>2</t>
  </si>
  <si>
    <t>3</t>
  </si>
  <si>
    <t>4</t>
  </si>
  <si>
    <t xml:space="preserve">  2 3</t>
  </si>
  <si>
    <t xml:space="preserve">  6</t>
  </si>
  <si>
    <t xml:space="preserve">  0 1 2 4</t>
  </si>
  <si>
    <t xml:space="preserve">  5 7</t>
  </si>
  <si>
    <t xml:space="preserve">  0</t>
  </si>
  <si>
    <t>b)</t>
  </si>
  <si>
    <t>c)</t>
  </si>
  <si>
    <t>Question 5</t>
  </si>
  <si>
    <t>Q5</t>
  </si>
  <si>
    <t>p</t>
  </si>
  <si>
    <t xml:space="preserve">b) </t>
  </si>
  <si>
    <t>Question 6</t>
  </si>
  <si>
    <t>Question 7</t>
  </si>
  <si>
    <t>Question 8</t>
  </si>
  <si>
    <t>d)</t>
  </si>
  <si>
    <t>Question 9</t>
  </si>
  <si>
    <t>Question 10</t>
  </si>
  <si>
    <t>Question 11</t>
  </si>
  <si>
    <t>Question 13</t>
  </si>
  <si>
    <t>Question 12</t>
  </si>
  <si>
    <t>Question 14</t>
  </si>
  <si>
    <t>t =</t>
  </si>
  <si>
    <t xml:space="preserve">if we use conservative df = 18, then p-value = </t>
  </si>
  <si>
    <t xml:space="preserve">(Note: using df = 37.689, </t>
  </si>
  <si>
    <t>Question 15</t>
  </si>
  <si>
    <t xml:space="preserve"> (Note: I used df = 232.7146)</t>
  </si>
  <si>
    <t>Q15</t>
  </si>
  <si>
    <t>d</t>
  </si>
  <si>
    <t>c</t>
  </si>
  <si>
    <t>se</t>
  </si>
  <si>
    <t xml:space="preserve">n = </t>
  </si>
  <si>
    <t>s =</t>
  </si>
  <si>
    <t>xbar</t>
  </si>
  <si>
    <t>Question 16</t>
  </si>
  <si>
    <t>df =</t>
  </si>
  <si>
    <t>Question 17</t>
  </si>
  <si>
    <t>Choose the last normal curve</t>
  </si>
  <si>
    <t>-2.074, 2.074</t>
  </si>
  <si>
    <t>Question 18</t>
  </si>
  <si>
    <t>b) I agree with your answer of 0.0001 but the system did not accept it so try 0.0000</t>
  </si>
  <si>
    <t>Question 19</t>
  </si>
  <si>
    <r>
      <t>(Please send me "</t>
    </r>
    <r>
      <rPr>
        <b/>
        <u/>
        <sz val="11"/>
        <color theme="3"/>
        <rFont val="Calibri"/>
        <family val="2"/>
        <scheme val="minor"/>
      </rPr>
      <t>t distribution critical values table</t>
    </r>
    <r>
      <rPr>
        <sz val="11"/>
        <color theme="1"/>
        <rFont val="Calibri"/>
        <family val="2"/>
        <scheme val="minor"/>
      </rPr>
      <t>")</t>
    </r>
  </si>
  <si>
    <r>
      <t>(Please send me "</t>
    </r>
    <r>
      <rPr>
        <b/>
        <u/>
        <sz val="11"/>
        <color theme="3"/>
        <rFont val="Calibri"/>
        <family val="2"/>
        <scheme val="minor"/>
      </rPr>
      <t>Table D</t>
    </r>
    <r>
      <rPr>
        <sz val="11"/>
        <color theme="1"/>
        <rFont val="Calibri"/>
        <family val="2"/>
        <scheme val="minor"/>
      </rPr>
      <t>")</t>
    </r>
  </si>
  <si>
    <t>Yes</t>
  </si>
  <si>
    <t>e)</t>
  </si>
  <si>
    <t>Q20 daTA</t>
  </si>
  <si>
    <t>Operator 1</t>
  </si>
  <si>
    <t>Operator 2</t>
  </si>
  <si>
    <t>diff</t>
  </si>
  <si>
    <t>Question 20</t>
  </si>
  <si>
    <t>a) x bar =</t>
  </si>
  <si>
    <t>sd</t>
  </si>
  <si>
    <t>degrees of freedom =</t>
  </si>
  <si>
    <t>Question 21</t>
  </si>
  <si>
    <t>Question 22</t>
  </si>
  <si>
    <t>Question 23</t>
  </si>
  <si>
    <t>pf =</t>
  </si>
  <si>
    <t>Sef =</t>
  </si>
  <si>
    <t>pm =</t>
  </si>
  <si>
    <t>Sem =</t>
  </si>
  <si>
    <t xml:space="preserve">z = </t>
  </si>
  <si>
    <t>Question 24</t>
  </si>
  <si>
    <t>Q24 data</t>
  </si>
  <si>
    <t>Mexican</t>
  </si>
  <si>
    <t>Juror</t>
  </si>
  <si>
    <t>Not Juror</t>
  </si>
  <si>
    <t>Total</t>
  </si>
  <si>
    <t>Question 25</t>
  </si>
  <si>
    <t>f)</t>
  </si>
  <si>
    <t>Question 26</t>
  </si>
  <si>
    <t>Choose the 2nd normal curve</t>
  </si>
  <si>
    <t>Question 27</t>
  </si>
  <si>
    <t>Question 28</t>
  </si>
  <si>
    <t>Question 29</t>
  </si>
  <si>
    <t>Question 30</t>
  </si>
  <si>
    <t>n</t>
  </si>
  <si>
    <t>z</t>
  </si>
  <si>
    <t>P-value</t>
  </si>
  <si>
    <t>Question 31</t>
  </si>
  <si>
    <t>m</t>
  </si>
  <si>
    <t>Choose the 2nd graph</t>
  </si>
  <si>
    <t>Question 32</t>
  </si>
  <si>
    <t>p1</t>
  </si>
  <si>
    <t>p2</t>
  </si>
  <si>
    <t>Question 33</t>
  </si>
  <si>
    <t>95%:</t>
  </si>
  <si>
    <t>Question 34</t>
  </si>
  <si>
    <t>Part-i</t>
  </si>
  <si>
    <t>95% CI</t>
  </si>
  <si>
    <t>Part-ii</t>
  </si>
  <si>
    <t>Part-iii</t>
  </si>
  <si>
    <t>Question 35</t>
  </si>
  <si>
    <t>Part-a</t>
  </si>
  <si>
    <t>die-hard</t>
  </si>
  <si>
    <t>less loyal</t>
  </si>
  <si>
    <t>Part b</t>
  </si>
  <si>
    <t>Part-c</t>
  </si>
  <si>
    <t>confidence interval 95.% lower</t>
  </si>
  <si>
    <t>confidence interval 95.% upper</t>
  </si>
  <si>
    <t xml:space="preserve">  margin of error</t>
  </si>
  <si>
    <t xml:space="preserve"> difference</t>
  </si>
  <si>
    <t xml:space="preserve"> hypothesized difference</t>
  </si>
  <si>
    <t xml:space="preserve"> std. error</t>
  </si>
  <si>
    <t xml:space="preserve"> z</t>
  </si>
  <si>
    <t>Part a</t>
  </si>
  <si>
    <t>Question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</si>
</sst>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6" formatCode="0.000"/>
    <numFmt numFmtId="183" formatCode="0.####"/>
    <numFmt numFmtId="185" formatCode="0.00;\-0.00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0" fillId="0" borderId="0" xfId="0" applyNumberFormat="1"/>
    <xf numFmtId="166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2" fillId="0" borderId="2" xfId="0" quotePrefix="1" applyFont="1" applyBorder="1" applyAlignment="1">
      <alignment horizontal="right"/>
    </xf>
    <xf numFmtId="0" fontId="2" fillId="2" borderId="0" xfId="0" quotePrefix="1" applyFont="1" applyFill="1"/>
    <xf numFmtId="0" fontId="2" fillId="0" borderId="0" xfId="0" applyFont="1" applyFill="1" applyBorder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quotePrefix="1" applyFill="1" applyBorder="1"/>
    <xf numFmtId="9" fontId="0" fillId="0" borderId="0" xfId="0" applyNumberFormat="1"/>
    <xf numFmtId="164" fontId="0" fillId="2" borderId="1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0" xfId="0" applyFill="1" applyBorder="1" applyAlignment="1">
      <alignment horizontal="left"/>
    </xf>
    <xf numFmtId="0" fontId="0" fillId="0" borderId="0" xfId="0" applyFill="1"/>
    <xf numFmtId="0" fontId="0" fillId="0" borderId="0" xfId="0"/>
    <xf numFmtId="164" fontId="0" fillId="0" borderId="0" xfId="0" applyNumberFormat="1" applyFill="1"/>
    <xf numFmtId="183" fontId="2" fillId="0" borderId="0" xfId="0" applyNumberFormat="1" applyFont="1" applyFill="1"/>
    <xf numFmtId="0" fontId="2" fillId="0" borderId="0" xfId="0" applyFont="1" applyFill="1"/>
    <xf numFmtId="18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95250</xdr:rowOff>
    </xdr:from>
    <xdr:to>
      <xdr:col>4</xdr:col>
      <xdr:colOff>114300</xdr:colOff>
      <xdr:row>15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2950"/>
          <a:ext cx="343852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133350</xdr:rowOff>
    </xdr:from>
    <xdr:to>
      <xdr:col>7</xdr:col>
      <xdr:colOff>161924</xdr:colOff>
      <xdr:row>38</xdr:row>
      <xdr:rowOff>107372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6750"/>
          <a:ext cx="5429249" cy="3022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247650</xdr:colOff>
      <xdr:row>55</xdr:row>
      <xdr:rowOff>161925</xdr:rowOff>
    </xdr:from>
    <xdr:to>
      <xdr:col>8</xdr:col>
      <xdr:colOff>9525</xdr:colOff>
      <xdr:row>66</xdr:row>
      <xdr:rowOff>95250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944225"/>
          <a:ext cx="5638800" cy="202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8</xdr:col>
      <xdr:colOff>219075</xdr:colOff>
      <xdr:row>102</xdr:row>
      <xdr:rowOff>14407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1700"/>
          <a:ext cx="6096000" cy="2490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9</xdr:col>
      <xdr:colOff>228600</xdr:colOff>
      <xdr:row>146</xdr:row>
      <xdr:rowOff>142875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79400"/>
          <a:ext cx="6715125" cy="319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148</xdr:row>
      <xdr:rowOff>38100</xdr:rowOff>
    </xdr:from>
    <xdr:to>
      <xdr:col>9</xdr:col>
      <xdr:colOff>295275</xdr:colOff>
      <xdr:row>164</xdr:row>
      <xdr:rowOff>161925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9146500"/>
          <a:ext cx="6705600" cy="317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8</xdr:col>
      <xdr:colOff>590550</xdr:colOff>
      <xdr:row>183</xdr:row>
      <xdr:rowOff>9525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61300"/>
          <a:ext cx="6467475" cy="267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8"/>
  <sheetViews>
    <sheetView tabSelected="1" workbookViewId="0">
      <selection activeCell="F14" sqref="F14"/>
    </sheetView>
  </sheetViews>
  <sheetFormatPr defaultRowHeight="15" x14ac:dyDescent="0.25"/>
  <cols>
    <col min="2" max="2" width="19.85546875" bestFit="1" customWidth="1"/>
    <col min="3" max="3" width="12.28515625" customWidth="1"/>
    <col min="6" max="6" width="10.28515625" customWidth="1"/>
    <col min="11" max="11" width="12" style="22" bestFit="1" customWidth="1"/>
    <col min="12" max="18" width="12" style="22" customWidth="1"/>
    <col min="19" max="19" width="13.140625" style="22" customWidth="1"/>
    <col min="20" max="20" width="12" style="22" bestFit="1" customWidth="1"/>
    <col min="21" max="25" width="9.140625" style="22"/>
  </cols>
  <sheetData>
    <row r="1" spans="1:23" ht="21" x14ac:dyDescent="0.35">
      <c r="A1" s="1" t="s">
        <v>0</v>
      </c>
      <c r="T1" s="22" t="s">
        <v>2</v>
      </c>
    </row>
    <row r="2" spans="1:23" x14ac:dyDescent="0.25">
      <c r="T2" s="22">
        <v>6</v>
      </c>
      <c r="V2" s="22" t="s">
        <v>3</v>
      </c>
      <c r="W2" s="22">
        <f>+AVERAGE($T$2:$T$21)</f>
        <v>2.71</v>
      </c>
    </row>
    <row r="3" spans="1:23" ht="21" x14ac:dyDescent="0.35">
      <c r="A3" s="1" t="s">
        <v>1</v>
      </c>
      <c r="T3" s="22">
        <v>6.5</v>
      </c>
      <c r="V3" s="22" t="s">
        <v>4</v>
      </c>
      <c r="W3" s="22">
        <f>(W2)/(3/SQRT(20))</f>
        <v>4.0398294793496197</v>
      </c>
    </row>
    <row r="4" spans="1:23" x14ac:dyDescent="0.25">
      <c r="T4" s="22">
        <v>-0.6</v>
      </c>
      <c r="V4" s="22" t="s">
        <v>5</v>
      </c>
      <c r="W4" s="24">
        <f>2*(1-NORMSDIST(W3))</f>
        <v>5.3490076961093536E-5</v>
      </c>
    </row>
    <row r="5" spans="1:23" x14ac:dyDescent="0.25">
      <c r="T5" s="22">
        <v>1.7</v>
      </c>
    </row>
    <row r="6" spans="1:23" x14ac:dyDescent="0.25">
      <c r="T6" s="22">
        <v>3.7</v>
      </c>
    </row>
    <row r="7" spans="1:23" x14ac:dyDescent="0.25">
      <c r="T7" s="22">
        <v>4.5</v>
      </c>
    </row>
    <row r="8" spans="1:23" x14ac:dyDescent="0.25">
      <c r="T8" s="22">
        <v>6</v>
      </c>
    </row>
    <row r="9" spans="1:23" x14ac:dyDescent="0.25">
      <c r="T9" s="22">
        <v>2.2000000000000002</v>
      </c>
    </row>
    <row r="10" spans="1:23" x14ac:dyDescent="0.25">
      <c r="T10" s="22">
        <v>4.5999999999999996</v>
      </c>
    </row>
    <row r="11" spans="1:23" x14ac:dyDescent="0.25">
      <c r="T11" s="22">
        <v>3</v>
      </c>
    </row>
    <row r="12" spans="1:23" x14ac:dyDescent="0.25">
      <c r="T12" s="22">
        <v>4.4000000000000004</v>
      </c>
    </row>
    <row r="13" spans="1:23" x14ac:dyDescent="0.25">
      <c r="T13" s="22">
        <v>0.5</v>
      </c>
    </row>
    <row r="14" spans="1:23" x14ac:dyDescent="0.25">
      <c r="T14" s="22">
        <v>3</v>
      </c>
    </row>
    <row r="15" spans="1:23" x14ac:dyDescent="0.25">
      <c r="T15" s="22">
        <v>1.4</v>
      </c>
    </row>
    <row r="16" spans="1:23" x14ac:dyDescent="0.25">
      <c r="T16" s="22">
        <v>1.4</v>
      </c>
    </row>
    <row r="17" spans="1:20" x14ac:dyDescent="0.25">
      <c r="A17" t="s">
        <v>58</v>
      </c>
      <c r="T17" s="22">
        <v>5</v>
      </c>
    </row>
    <row r="18" spans="1:20" x14ac:dyDescent="0.25">
      <c r="T18" s="22">
        <v>2.1</v>
      </c>
    </row>
    <row r="19" spans="1:20" x14ac:dyDescent="0.25">
      <c r="T19" s="22">
        <v>3.6</v>
      </c>
    </row>
    <row r="20" spans="1:20" x14ac:dyDescent="0.25">
      <c r="T20" s="22">
        <v>-0.6</v>
      </c>
    </row>
    <row r="21" spans="1:20" x14ac:dyDescent="0.25">
      <c r="T21" s="22">
        <v>-4.2</v>
      </c>
    </row>
    <row r="41" spans="1:23" x14ac:dyDescent="0.25">
      <c r="T41" s="22" t="s">
        <v>8</v>
      </c>
    </row>
    <row r="42" spans="1:23" ht="21" x14ac:dyDescent="0.35">
      <c r="A42" s="1" t="s">
        <v>6</v>
      </c>
      <c r="T42" s="22">
        <v>5.3</v>
      </c>
    </row>
    <row r="43" spans="1:23" x14ac:dyDescent="0.25">
      <c r="T43" s="22">
        <v>5.0999999999999996</v>
      </c>
      <c r="V43" s="22" t="s">
        <v>9</v>
      </c>
      <c r="W43" s="22">
        <f>+AVERAGE($T$42:$T$47)</f>
        <v>5.2833333333333332</v>
      </c>
    </row>
    <row r="44" spans="1:23" x14ac:dyDescent="0.25">
      <c r="A44" t="s">
        <v>7</v>
      </c>
      <c r="B44" s="3">
        <f>5.2833333+NORMSINV(0.025)*0.9/SQRT(6)</f>
        <v>4.5631965485467036</v>
      </c>
      <c r="C44" s="3">
        <f>5.2833333-NORMSINV(0.025)*0.9/SQRT(6)</f>
        <v>6.0034700514532959</v>
      </c>
      <c r="T44" s="22">
        <v>4.4000000000000004</v>
      </c>
    </row>
    <row r="45" spans="1:23" x14ac:dyDescent="0.25">
      <c r="T45" s="22">
        <v>4.9000000000000004</v>
      </c>
    </row>
    <row r="46" spans="1:23" x14ac:dyDescent="0.25">
      <c r="T46" s="22">
        <v>5.7</v>
      </c>
    </row>
    <row r="47" spans="1:23" ht="21" x14ac:dyDescent="0.35">
      <c r="A47" s="1" t="s">
        <v>10</v>
      </c>
      <c r="T47" s="22">
        <v>6.3</v>
      </c>
    </row>
    <row r="48" spans="1:23" x14ac:dyDescent="0.25">
      <c r="A48" t="s">
        <v>7</v>
      </c>
      <c r="B48" s="4">
        <f>145+NORMSINV(0.05)*9/SQRT(14)</f>
        <v>141.04354939207116</v>
      </c>
      <c r="C48" s="4">
        <f>145-NORMSINV(0.05)*9/SQRT(14)</f>
        <v>148.95645060792884</v>
      </c>
    </row>
    <row r="50" spans="1:4" x14ac:dyDescent="0.25">
      <c r="A50" s="5" t="s">
        <v>4</v>
      </c>
      <c r="B50" s="4">
        <f>(145-140)/(9/SQRT(14))</f>
        <v>2.0786985482077451</v>
      </c>
      <c r="C50">
        <v>2.08</v>
      </c>
    </row>
    <row r="52" spans="1:4" x14ac:dyDescent="0.25">
      <c r="A52" t="s">
        <v>11</v>
      </c>
      <c r="B52" s="7">
        <f>1-NORMSDIST(B50)</f>
        <v>1.8822533256469987E-2</v>
      </c>
      <c r="C52" s="6"/>
    </row>
    <row r="54" spans="1:4" x14ac:dyDescent="0.25">
      <c r="A54" s="8" t="s">
        <v>12</v>
      </c>
      <c r="B54" s="8"/>
      <c r="C54" s="8"/>
      <c r="D54" s="8"/>
    </row>
    <row r="68" spans="1:23" x14ac:dyDescent="0.25">
      <c r="S68" s="22" t="s">
        <v>15</v>
      </c>
      <c r="T68" s="22" t="s">
        <v>14</v>
      </c>
    </row>
    <row r="69" spans="1:23" x14ac:dyDescent="0.25">
      <c r="S69" s="22">
        <v>1</v>
      </c>
      <c r="T69" s="22">
        <v>30</v>
      </c>
      <c r="V69" s="22" t="s">
        <v>3</v>
      </c>
      <c r="W69" s="22">
        <f>+AVERAGE($T$69:$T$78)</f>
        <v>31</v>
      </c>
    </row>
    <row r="70" spans="1:23" ht="21" x14ac:dyDescent="0.35">
      <c r="A70" s="1" t="s">
        <v>13</v>
      </c>
      <c r="S70" s="22">
        <v>2</v>
      </c>
      <c r="T70" s="22">
        <v>23</v>
      </c>
    </row>
    <row r="71" spans="1:23" x14ac:dyDescent="0.25">
      <c r="S71" s="22">
        <v>3</v>
      </c>
      <c r="T71" s="22">
        <v>35</v>
      </c>
    </row>
    <row r="72" spans="1:23" x14ac:dyDescent="0.25">
      <c r="A72" t="s">
        <v>7</v>
      </c>
      <c r="S72" s="22">
        <v>4</v>
      </c>
      <c r="T72" s="22">
        <v>37</v>
      </c>
    </row>
    <row r="73" spans="1:23" x14ac:dyDescent="0.25">
      <c r="A73" s="9" t="s">
        <v>16</v>
      </c>
      <c r="B73" s="10" t="s">
        <v>19</v>
      </c>
      <c r="S73" s="22">
        <v>5</v>
      </c>
      <c r="T73" s="22">
        <v>32</v>
      </c>
    </row>
    <row r="74" spans="1:23" x14ac:dyDescent="0.25">
      <c r="A74" s="9" t="s">
        <v>16</v>
      </c>
      <c r="B74" s="10" t="s">
        <v>20</v>
      </c>
      <c r="S74" s="22">
        <v>6</v>
      </c>
      <c r="T74" s="22">
        <v>40</v>
      </c>
    </row>
    <row r="75" spans="1:23" x14ac:dyDescent="0.25">
      <c r="A75" s="9" t="s">
        <v>17</v>
      </c>
      <c r="B75" s="10" t="s">
        <v>21</v>
      </c>
      <c r="S75" s="22">
        <v>7</v>
      </c>
      <c r="T75" s="22">
        <v>34</v>
      </c>
    </row>
    <row r="76" spans="1:23" x14ac:dyDescent="0.25">
      <c r="A76" s="9" t="s">
        <v>17</v>
      </c>
      <c r="B76" s="10" t="s">
        <v>22</v>
      </c>
      <c r="S76" s="22">
        <v>8</v>
      </c>
      <c r="T76" s="22">
        <v>31</v>
      </c>
    </row>
    <row r="77" spans="1:23" x14ac:dyDescent="0.25">
      <c r="A77" s="9" t="s">
        <v>18</v>
      </c>
      <c r="B77" s="10" t="s">
        <v>23</v>
      </c>
      <c r="S77" s="22">
        <v>9</v>
      </c>
      <c r="T77" s="22">
        <v>26</v>
      </c>
    </row>
    <row r="78" spans="1:23" x14ac:dyDescent="0.25">
      <c r="S78" s="22">
        <v>10</v>
      </c>
      <c r="T78" s="22">
        <v>22</v>
      </c>
    </row>
    <row r="79" spans="1:23" x14ac:dyDescent="0.25">
      <c r="A79" s="11" t="s">
        <v>24</v>
      </c>
      <c r="B79" s="3">
        <f>31+NORMSINV(0.025)*7/SQRT(10)</f>
        <v>26.66143477386807</v>
      </c>
      <c r="C79" s="3">
        <f>31-NORMSINV(0.025)*7/SQRT(10)</f>
        <v>35.338565226131934</v>
      </c>
    </row>
    <row r="81" spans="1:22" x14ac:dyDescent="0.25">
      <c r="A81" t="s">
        <v>25</v>
      </c>
    </row>
    <row r="82" spans="1:22" x14ac:dyDescent="0.25">
      <c r="A82" s="5" t="s">
        <v>4</v>
      </c>
      <c r="B82" s="4">
        <f>(31-25)/(7/SQRT(10))</f>
        <v>2.7105237087157539</v>
      </c>
    </row>
    <row r="84" spans="1:22" x14ac:dyDescent="0.25">
      <c r="A84" t="s">
        <v>11</v>
      </c>
      <c r="B84" s="7">
        <f>1-NORMSDIST(B82)</f>
        <v>3.358852287731251E-3</v>
      </c>
    </row>
    <row r="87" spans="1:22" ht="21" x14ac:dyDescent="0.35">
      <c r="A87" s="1" t="s">
        <v>26</v>
      </c>
      <c r="S87" s="22" t="s">
        <v>27</v>
      </c>
    </row>
    <row r="88" spans="1:22" x14ac:dyDescent="0.25">
      <c r="A88" t="s">
        <v>7</v>
      </c>
    </row>
    <row r="89" spans="1:22" x14ac:dyDescent="0.25">
      <c r="S89" s="22" t="s">
        <v>4</v>
      </c>
      <c r="T89" s="22">
        <f>(6.7)/(46/SQRT(110))</f>
        <v>1.5276128875521771</v>
      </c>
      <c r="U89" s="22">
        <v>1.53</v>
      </c>
      <c r="V89" s="22">
        <v>1.5276000000000001</v>
      </c>
    </row>
    <row r="90" spans="1:22" x14ac:dyDescent="0.25">
      <c r="S90" s="22" t="s">
        <v>28</v>
      </c>
      <c r="T90" s="24">
        <f>1-NORMSDIST(T89)</f>
        <v>6.3304340042726559E-2</v>
      </c>
      <c r="U90" s="24">
        <f>1-NORMSDIST(U89)</f>
        <v>6.3008364463978395E-2</v>
      </c>
      <c r="V90" s="24">
        <f>1-NORMSDIST(V89)</f>
        <v>6.3305940889369694E-2</v>
      </c>
    </row>
    <row r="104" spans="1:3" x14ac:dyDescent="0.25">
      <c r="A104" t="s">
        <v>29</v>
      </c>
    </row>
    <row r="105" spans="1:3" x14ac:dyDescent="0.25">
      <c r="A105" t="s">
        <v>5</v>
      </c>
      <c r="B105" s="14">
        <v>6.3299999999999995E-2</v>
      </c>
    </row>
    <row r="107" spans="1:3" ht="21" x14ac:dyDescent="0.35">
      <c r="A107" s="1" t="s">
        <v>30</v>
      </c>
    </row>
    <row r="108" spans="1:3" x14ac:dyDescent="0.25">
      <c r="A108" s="11" t="s">
        <v>7</v>
      </c>
      <c r="B108" s="15">
        <f>75-6</f>
        <v>69</v>
      </c>
      <c r="C108" s="15">
        <f>75+6</f>
        <v>81</v>
      </c>
    </row>
    <row r="111" spans="1:3" ht="21" x14ac:dyDescent="0.35">
      <c r="A111" s="1" t="s">
        <v>31</v>
      </c>
    </row>
    <row r="112" spans="1:3" x14ac:dyDescent="0.25">
      <c r="B112" s="4">
        <f>950+NORMSINV(0.025)*275/SQRT(11)</f>
        <v>787.48837151676776</v>
      </c>
      <c r="C112" s="4">
        <f>950-NORMSINV(0.025)*275/SQRT(11)</f>
        <v>1112.5116284832322</v>
      </c>
    </row>
    <row r="115" spans="1:2" ht="21" x14ac:dyDescent="0.35">
      <c r="A115" s="1" t="s">
        <v>32</v>
      </c>
    </row>
    <row r="117" spans="1:2" x14ac:dyDescent="0.25">
      <c r="A117" s="5" t="s">
        <v>7</v>
      </c>
      <c r="B117" s="7">
        <f>1-NORMSDIST(1.7)</f>
        <v>4.4565462758543006E-2</v>
      </c>
    </row>
    <row r="118" spans="1:2" x14ac:dyDescent="0.25">
      <c r="A118" s="5" t="s">
        <v>24</v>
      </c>
      <c r="B118" s="7">
        <f>NORMSDIST(1.7)</f>
        <v>0.95543453724145699</v>
      </c>
    </row>
    <row r="119" spans="1:2" x14ac:dyDescent="0.25">
      <c r="A119" s="5" t="s">
        <v>25</v>
      </c>
      <c r="B119" s="7">
        <f>2*(1-NORMSDIST(1.7))</f>
        <v>8.9130925517086013E-2</v>
      </c>
    </row>
    <row r="120" spans="1:2" x14ac:dyDescent="0.25">
      <c r="A120" s="5"/>
    </row>
    <row r="122" spans="1:2" ht="21" x14ac:dyDescent="0.35">
      <c r="A122" s="1" t="s">
        <v>34</v>
      </c>
    </row>
    <row r="124" spans="1:2" x14ac:dyDescent="0.25">
      <c r="A124" s="5" t="s">
        <v>7</v>
      </c>
      <c r="B124" s="7">
        <f>1-NORMSDIST(-1.22)</f>
        <v>0.88876756255216538</v>
      </c>
    </row>
    <row r="125" spans="1:2" x14ac:dyDescent="0.25">
      <c r="A125" s="5" t="s">
        <v>24</v>
      </c>
      <c r="B125" s="7">
        <f>NORMSDIST(-1.22)</f>
        <v>0.11123243744783459</v>
      </c>
    </row>
    <row r="126" spans="1:2" x14ac:dyDescent="0.25">
      <c r="A126" s="5" t="s">
        <v>25</v>
      </c>
      <c r="B126" s="7">
        <f>2*NORMSDIST(-1.22)</f>
        <v>0.22246487489566918</v>
      </c>
    </row>
    <row r="128" spans="1:2" ht="21" x14ac:dyDescent="0.35">
      <c r="A128" s="1" t="s">
        <v>35</v>
      </c>
    </row>
    <row r="129" spans="1:1" ht="21" x14ac:dyDescent="0.35">
      <c r="A129" s="1" t="s">
        <v>36</v>
      </c>
    </row>
    <row r="148" spans="1:1" ht="21" x14ac:dyDescent="0.35">
      <c r="A148" s="1" t="s">
        <v>38</v>
      </c>
    </row>
    <row r="168" spans="1:1" ht="21" x14ac:dyDescent="0.35">
      <c r="A168" s="1" t="s">
        <v>37</v>
      </c>
    </row>
    <row r="185" spans="1:7" x14ac:dyDescent="0.25">
      <c r="A185" t="s">
        <v>24</v>
      </c>
      <c r="B185" s="16">
        <v>0.12</v>
      </c>
    </row>
    <row r="187" spans="1:7" ht="21" x14ac:dyDescent="0.35">
      <c r="A187" s="1" t="s">
        <v>39</v>
      </c>
    </row>
    <row r="189" spans="1:7" x14ac:dyDescent="0.25">
      <c r="A189" t="s">
        <v>40</v>
      </c>
      <c r="B189" s="16">
        <v>1.4830000000000001</v>
      </c>
    </row>
    <row r="190" spans="1:7" x14ac:dyDescent="0.25">
      <c r="A190" t="s">
        <v>11</v>
      </c>
      <c r="B190" s="16">
        <v>7.3200000000000001E-2</v>
      </c>
      <c r="C190" t="s">
        <v>42</v>
      </c>
    </row>
    <row r="191" spans="1:7" x14ac:dyDescent="0.25">
      <c r="C191" t="s">
        <v>41</v>
      </c>
      <c r="G191" s="2">
        <f>TDIST(1.483,18,1)</f>
        <v>7.7686139159535525E-2</v>
      </c>
    </row>
    <row r="193" spans="1:21" x14ac:dyDescent="0.25">
      <c r="A193" t="s">
        <v>24</v>
      </c>
    </row>
    <row r="194" spans="1:21" x14ac:dyDescent="0.25">
      <c r="B194" s="16">
        <v>-0.29199999999999998</v>
      </c>
      <c r="C194" s="16">
        <v>1.8919999999999999</v>
      </c>
    </row>
    <row r="197" spans="1:21" ht="21" x14ac:dyDescent="0.35">
      <c r="A197" s="1" t="s">
        <v>43</v>
      </c>
    </row>
    <row r="199" spans="1:21" x14ac:dyDescent="0.25">
      <c r="A199" s="5" t="s">
        <v>40</v>
      </c>
      <c r="B199" s="16">
        <v>3.6619999999999999</v>
      </c>
    </row>
    <row r="200" spans="1:21" x14ac:dyDescent="0.25">
      <c r="A200" s="5" t="s">
        <v>5</v>
      </c>
      <c r="B200" s="16">
        <v>2.0000000000000001E-4</v>
      </c>
      <c r="C200" t="s">
        <v>44</v>
      </c>
    </row>
    <row r="202" spans="1:21" x14ac:dyDescent="0.25">
      <c r="S202" s="22" t="s">
        <v>45</v>
      </c>
    </row>
    <row r="203" spans="1:21" ht="21" x14ac:dyDescent="0.35">
      <c r="A203" s="1" t="s">
        <v>52</v>
      </c>
      <c r="T203" s="22" t="s">
        <v>46</v>
      </c>
      <c r="U203" s="22" t="s">
        <v>47</v>
      </c>
    </row>
    <row r="204" spans="1:21" x14ac:dyDescent="0.25">
      <c r="S204" s="22" t="s">
        <v>48</v>
      </c>
      <c r="T204" s="22">
        <v>44</v>
      </c>
      <c r="U204" s="22">
        <v>45</v>
      </c>
    </row>
    <row r="205" spans="1:21" x14ac:dyDescent="0.25">
      <c r="A205" s="5" t="s">
        <v>40</v>
      </c>
      <c r="B205" s="16">
        <v>0.36699999999999999</v>
      </c>
      <c r="S205" s="22" t="s">
        <v>49</v>
      </c>
      <c r="T205" s="22">
        <v>93</v>
      </c>
      <c r="U205" s="22">
        <v>51</v>
      </c>
    </row>
    <row r="206" spans="1:21" x14ac:dyDescent="0.25">
      <c r="A206" t="s">
        <v>53</v>
      </c>
      <c r="B206" s="16">
        <f>93+51-2</f>
        <v>142</v>
      </c>
      <c r="S206" s="22" t="s">
        <v>50</v>
      </c>
      <c r="T206" s="22">
        <f>T204*SQRT(T205)</f>
        <v>424.32063348369002</v>
      </c>
      <c r="U206" s="22">
        <f>U204*SQRT(U205)</f>
        <v>321.36427928442828</v>
      </c>
    </row>
    <row r="207" spans="1:21" x14ac:dyDescent="0.25">
      <c r="A207" s="5" t="s">
        <v>5</v>
      </c>
      <c r="B207" s="16">
        <v>0.35699999999999998</v>
      </c>
      <c r="S207" s="22" t="s">
        <v>51</v>
      </c>
      <c r="T207" s="22">
        <v>2822</v>
      </c>
      <c r="U207" s="22">
        <v>2847</v>
      </c>
    </row>
    <row r="210" spans="1:4" ht="21" x14ac:dyDescent="0.35">
      <c r="A210" s="1" t="s">
        <v>54</v>
      </c>
    </row>
    <row r="212" spans="1:4" x14ac:dyDescent="0.25">
      <c r="A212" s="8" t="s">
        <v>55</v>
      </c>
      <c r="B212" s="8"/>
    </row>
    <row r="214" spans="1:4" x14ac:dyDescent="0.25">
      <c r="B214" s="17" t="s">
        <v>56</v>
      </c>
      <c r="D214">
        <f>+TINV(0.05,22)</f>
        <v>2.0738730679040258</v>
      </c>
    </row>
    <row r="218" spans="1:4" ht="21" x14ac:dyDescent="0.35">
      <c r="A218" s="1" t="s">
        <v>57</v>
      </c>
    </row>
    <row r="219" spans="1:4" x14ac:dyDescent="0.25">
      <c r="A219" s="5" t="s">
        <v>7</v>
      </c>
      <c r="B219" s="16">
        <v>17</v>
      </c>
    </row>
    <row r="221" spans="1:4" x14ac:dyDescent="0.25">
      <c r="A221" s="5" t="s">
        <v>24</v>
      </c>
      <c r="B221" s="3"/>
      <c r="C221" s="3"/>
      <c r="D221" t="s">
        <v>60</v>
      </c>
    </row>
    <row r="223" spans="1:4" x14ac:dyDescent="0.25">
      <c r="A223" s="5" t="s">
        <v>5</v>
      </c>
      <c r="B223" s="7">
        <f>TDIST(2.42,17,1)</f>
        <v>1.3505006254661762E-2</v>
      </c>
    </row>
    <row r="226" spans="1:21" ht="21" x14ac:dyDescent="0.35">
      <c r="A226" s="1" t="s">
        <v>59</v>
      </c>
    </row>
    <row r="227" spans="1:21" x14ac:dyDescent="0.25">
      <c r="A227" s="5" t="s">
        <v>7</v>
      </c>
      <c r="B227" s="16">
        <v>17</v>
      </c>
    </row>
    <row r="229" spans="1:21" x14ac:dyDescent="0.25">
      <c r="A229" s="5" t="s">
        <v>24</v>
      </c>
      <c r="B229" s="3"/>
      <c r="C229" s="3"/>
      <c r="D229" t="s">
        <v>61</v>
      </c>
    </row>
    <row r="231" spans="1:21" x14ac:dyDescent="0.25">
      <c r="A231" s="5" t="s">
        <v>5</v>
      </c>
      <c r="B231" s="7">
        <f>TDIST(2.78,17,2)</f>
        <v>1.2833961236157349E-2</v>
      </c>
    </row>
    <row r="233" spans="1:21" x14ac:dyDescent="0.25">
      <c r="A233" t="s">
        <v>33</v>
      </c>
      <c r="B233" s="8" t="s">
        <v>62</v>
      </c>
    </row>
    <row r="235" spans="1:21" x14ac:dyDescent="0.25">
      <c r="A235" t="s">
        <v>63</v>
      </c>
      <c r="B235" s="7">
        <f>TDIST(2.78,17,2)</f>
        <v>1.2833961236157349E-2</v>
      </c>
    </row>
    <row r="236" spans="1:21" x14ac:dyDescent="0.25">
      <c r="S236" s="22" t="s">
        <v>64</v>
      </c>
    </row>
    <row r="237" spans="1:21" x14ac:dyDescent="0.25">
      <c r="S237" s="22" t="s">
        <v>65</v>
      </c>
      <c r="T237" s="22" t="s">
        <v>66</v>
      </c>
      <c r="U237" s="22" t="s">
        <v>67</v>
      </c>
    </row>
    <row r="238" spans="1:21" ht="21" x14ac:dyDescent="0.35">
      <c r="A238" s="1" t="s">
        <v>68</v>
      </c>
      <c r="S238" s="22">
        <v>1.3240000000000001</v>
      </c>
      <c r="T238" s="22">
        <v>1.323</v>
      </c>
      <c r="U238" s="22">
        <f>S238-T238</f>
        <v>1.0000000000001119E-3</v>
      </c>
    </row>
    <row r="239" spans="1:21" x14ac:dyDescent="0.25">
      <c r="S239" s="22">
        <v>1.335</v>
      </c>
      <c r="T239" s="22">
        <v>1.3220000000000001</v>
      </c>
      <c r="U239" s="22">
        <f t="shared" ref="U239:U245" si="0">S239-T239</f>
        <v>1.2999999999999901E-2</v>
      </c>
    </row>
    <row r="240" spans="1:21" x14ac:dyDescent="0.25">
      <c r="A240" t="s">
        <v>69</v>
      </c>
      <c r="B240" s="16">
        <v>-2.5999999999999999E-3</v>
      </c>
      <c r="S240" s="22">
        <v>1.075</v>
      </c>
      <c r="T240" s="22">
        <v>1.073</v>
      </c>
      <c r="U240" s="22">
        <f t="shared" si="0"/>
        <v>2.0000000000000018E-3</v>
      </c>
    </row>
    <row r="241" spans="1:21" x14ac:dyDescent="0.25">
      <c r="A241" t="s">
        <v>50</v>
      </c>
      <c r="B241" s="16">
        <v>9.4999999999999998E-3</v>
      </c>
      <c r="S241" s="22">
        <v>1.2270000000000001</v>
      </c>
      <c r="T241" s="22">
        <v>1.2330000000000001</v>
      </c>
      <c r="U241" s="22">
        <f t="shared" si="0"/>
        <v>-6.0000000000000053E-3</v>
      </c>
    </row>
    <row r="242" spans="1:21" x14ac:dyDescent="0.25">
      <c r="S242" s="22">
        <v>0.93600000000000005</v>
      </c>
      <c r="T242" s="22">
        <v>0.93400000000000005</v>
      </c>
      <c r="U242" s="22">
        <f t="shared" si="0"/>
        <v>2.0000000000000018E-3</v>
      </c>
    </row>
    <row r="243" spans="1:21" x14ac:dyDescent="0.25">
      <c r="A243" t="s">
        <v>40</v>
      </c>
      <c r="B243" s="16">
        <v>-0.78500000000000003</v>
      </c>
      <c r="S243" s="22">
        <v>1.006</v>
      </c>
      <c r="T243" s="22">
        <v>1.0189999999999999</v>
      </c>
      <c r="U243" s="22">
        <f t="shared" si="0"/>
        <v>-1.2999999999999901E-2</v>
      </c>
    </row>
    <row r="244" spans="1:21" x14ac:dyDescent="0.25">
      <c r="S244" s="22">
        <v>1.181</v>
      </c>
      <c r="T244" s="22">
        <v>1.1839999999999999</v>
      </c>
      <c r="U244" s="22">
        <f t="shared" si="0"/>
        <v>-2.9999999999998916E-3</v>
      </c>
    </row>
    <row r="245" spans="1:21" x14ac:dyDescent="0.25">
      <c r="A245" t="s">
        <v>71</v>
      </c>
      <c r="C245" s="16">
        <v>7</v>
      </c>
      <c r="S245" s="22">
        <v>1.2869999999999999</v>
      </c>
      <c r="T245" s="22">
        <v>1.304</v>
      </c>
      <c r="U245" s="22">
        <f t="shared" si="0"/>
        <v>-1.7000000000000126E-2</v>
      </c>
    </row>
    <row r="247" spans="1:21" x14ac:dyDescent="0.25">
      <c r="A247" t="s">
        <v>5</v>
      </c>
      <c r="B247" s="7">
        <f>TDIST(0.7852,7,2)</f>
        <v>0.45808328027598355</v>
      </c>
      <c r="T247" s="22" t="s">
        <v>9</v>
      </c>
      <c r="U247" s="24">
        <f>+AVERAGE($U$238:$U$245)</f>
        <v>-2.6249999999999885E-3</v>
      </c>
    </row>
    <row r="248" spans="1:21" x14ac:dyDescent="0.25">
      <c r="T248" s="22" t="s">
        <v>70</v>
      </c>
      <c r="U248" s="24">
        <f>+_xlfn.STDEV.S($U$238:$U$245)</f>
        <v>9.4557238900950455E-3</v>
      </c>
    </row>
    <row r="250" spans="1:21" x14ac:dyDescent="0.25">
      <c r="A250" t="s">
        <v>25</v>
      </c>
      <c r="B250" s="16">
        <v>-1.0500000000000001E-2</v>
      </c>
      <c r="C250" s="16">
        <v>5.3E-3</v>
      </c>
      <c r="T250" s="22" t="s">
        <v>40</v>
      </c>
      <c r="U250" s="22">
        <f>+(U247)/(U248/SQRT(8))</f>
        <v>-0.78519860443853207</v>
      </c>
    </row>
    <row r="253" spans="1:21" ht="21" x14ac:dyDescent="0.35">
      <c r="A253" s="1" t="s">
        <v>72</v>
      </c>
    </row>
    <row r="255" spans="1:21" x14ac:dyDescent="0.25">
      <c r="A255" s="18">
        <v>0.9</v>
      </c>
    </row>
    <row r="256" spans="1:21" x14ac:dyDescent="0.25">
      <c r="B256" s="8">
        <v>2.2299000000000002</v>
      </c>
      <c r="C256" s="8">
        <v>2.4500999999999999</v>
      </c>
    </row>
    <row r="258" spans="1:3" x14ac:dyDescent="0.25">
      <c r="A258" s="18">
        <v>0.95</v>
      </c>
    </row>
    <row r="259" spans="1:3" x14ac:dyDescent="0.25">
      <c r="B259" s="8">
        <v>2.2086999999999999</v>
      </c>
      <c r="C259" s="8">
        <v>2.4712999999999998</v>
      </c>
    </row>
    <row r="261" spans="1:3" x14ac:dyDescent="0.25">
      <c r="A261" s="18">
        <v>0.99</v>
      </c>
    </row>
    <row r="262" spans="1:3" x14ac:dyDescent="0.25">
      <c r="B262" s="8">
        <v>2.1669999999999998</v>
      </c>
      <c r="C262" s="19">
        <v>2.5129999999999999</v>
      </c>
    </row>
    <row r="265" spans="1:3" ht="21" x14ac:dyDescent="0.35">
      <c r="A265" s="1" t="s">
        <v>73</v>
      </c>
    </row>
    <row r="267" spans="1:3" x14ac:dyDescent="0.25">
      <c r="A267" t="s">
        <v>33</v>
      </c>
    </row>
    <row r="268" spans="1:3" x14ac:dyDescent="0.25">
      <c r="A268" s="5" t="s">
        <v>40</v>
      </c>
      <c r="B268" s="16">
        <v>2.923</v>
      </c>
    </row>
    <row r="270" spans="1:3" x14ac:dyDescent="0.25">
      <c r="A270" s="5" t="s">
        <v>53</v>
      </c>
      <c r="B270" s="16">
        <v>346</v>
      </c>
    </row>
    <row r="272" spans="1:3" x14ac:dyDescent="0.25">
      <c r="A272" s="20" t="s">
        <v>11</v>
      </c>
      <c r="B272" s="16">
        <v>1.8E-3</v>
      </c>
    </row>
    <row r="275" spans="1:3" ht="21" x14ac:dyDescent="0.35">
      <c r="A275" s="1" t="s">
        <v>74</v>
      </c>
    </row>
    <row r="277" spans="1:3" x14ac:dyDescent="0.25">
      <c r="A277" t="s">
        <v>7</v>
      </c>
    </row>
    <row r="278" spans="1:3" x14ac:dyDescent="0.25">
      <c r="A278" t="s">
        <v>75</v>
      </c>
      <c r="B278" s="3">
        <f>47/59</f>
        <v>0.79661016949152541</v>
      </c>
    </row>
    <row r="279" spans="1:3" x14ac:dyDescent="0.25">
      <c r="A279" t="s">
        <v>76</v>
      </c>
      <c r="B279" s="3">
        <f>SQRT(B278*(1-B278)/59)</f>
        <v>5.2403649658482362E-2</v>
      </c>
    </row>
    <row r="280" spans="1:3" x14ac:dyDescent="0.25">
      <c r="A280" t="s">
        <v>77</v>
      </c>
      <c r="B280" s="3">
        <f>52/134</f>
        <v>0.38805970149253732</v>
      </c>
    </row>
    <row r="281" spans="1:3" x14ac:dyDescent="0.25">
      <c r="A281" t="s">
        <v>78</v>
      </c>
      <c r="B281" s="3">
        <f>SQRT(B280*(1-B280)/134)</f>
        <v>4.2097024531472932E-2</v>
      </c>
    </row>
    <row r="283" spans="1:3" x14ac:dyDescent="0.25">
      <c r="A283" t="s">
        <v>24</v>
      </c>
      <c r="B283" s="16">
        <v>0.29799999999999999</v>
      </c>
      <c r="C283" s="16">
        <v>0.51900000000000002</v>
      </c>
    </row>
    <row r="286" spans="1:3" x14ac:dyDescent="0.25">
      <c r="A286" t="s">
        <v>25</v>
      </c>
    </row>
    <row r="287" spans="1:3" x14ac:dyDescent="0.25">
      <c r="A287" s="5" t="s">
        <v>79</v>
      </c>
      <c r="B287" s="16">
        <v>5.23</v>
      </c>
    </row>
    <row r="289" spans="1:22" x14ac:dyDescent="0.25">
      <c r="A289" t="s">
        <v>11</v>
      </c>
      <c r="B289" s="7">
        <v>0</v>
      </c>
    </row>
    <row r="292" spans="1:22" ht="21" x14ac:dyDescent="0.35">
      <c r="A292" s="1" t="s">
        <v>80</v>
      </c>
    </row>
    <row r="293" spans="1:22" x14ac:dyDescent="0.25">
      <c r="S293" s="22" t="s">
        <v>81</v>
      </c>
    </row>
    <row r="294" spans="1:22" x14ac:dyDescent="0.25">
      <c r="A294" s="5" t="s">
        <v>7</v>
      </c>
      <c r="B294" s="7">
        <f>142475/181775</f>
        <v>0.78379865217989275</v>
      </c>
      <c r="T294" s="22" t="s">
        <v>83</v>
      </c>
      <c r="U294" s="22" t="s">
        <v>84</v>
      </c>
    </row>
    <row r="295" spans="1:22" x14ac:dyDescent="0.25">
      <c r="S295" s="22" t="s">
        <v>82</v>
      </c>
      <c r="T295" s="22">
        <v>334</v>
      </c>
      <c r="U295" s="22">
        <v>142475</v>
      </c>
    </row>
    <row r="296" spans="1:22" x14ac:dyDescent="0.25">
      <c r="A296" s="5" t="s">
        <v>24</v>
      </c>
      <c r="S296" s="22" t="s">
        <v>85</v>
      </c>
      <c r="T296" s="22">
        <v>898</v>
      </c>
      <c r="U296" s="22">
        <v>181775</v>
      </c>
    </row>
    <row r="297" spans="1:22" x14ac:dyDescent="0.25">
      <c r="A297" t="s">
        <v>4</v>
      </c>
      <c r="B297" s="4">
        <f>(334/898-B294)/SQRT(B294*(1-B294)/898)</f>
        <v>-29.98177888716754</v>
      </c>
    </row>
    <row r="298" spans="1:22" x14ac:dyDescent="0.25">
      <c r="A298" s="20" t="s">
        <v>11</v>
      </c>
      <c r="B298" s="7">
        <v>0</v>
      </c>
      <c r="T298" s="22" t="s">
        <v>83</v>
      </c>
      <c r="U298" s="22" t="s">
        <v>84</v>
      </c>
    </row>
    <row r="299" spans="1:22" x14ac:dyDescent="0.25">
      <c r="S299" s="22" t="s">
        <v>82</v>
      </c>
      <c r="T299" s="22">
        <v>334</v>
      </c>
      <c r="U299" s="22">
        <f>U295-T299</f>
        <v>142141</v>
      </c>
      <c r="V299" s="22">
        <f>SUM(T299:U299)</f>
        <v>142475</v>
      </c>
    </row>
    <row r="300" spans="1:22" x14ac:dyDescent="0.25">
      <c r="S300" s="22" t="s">
        <v>85</v>
      </c>
      <c r="T300" s="22">
        <v>898</v>
      </c>
      <c r="U300" s="22">
        <f>U296-T300</f>
        <v>180877</v>
      </c>
      <c r="V300" s="22">
        <f>SUM(T300:U300)</f>
        <v>181775</v>
      </c>
    </row>
    <row r="301" spans="1:22" x14ac:dyDescent="0.25">
      <c r="A301" s="5" t="s">
        <v>25</v>
      </c>
    </row>
    <row r="302" spans="1:22" x14ac:dyDescent="0.25">
      <c r="A302" t="s">
        <v>4</v>
      </c>
      <c r="B302" s="4">
        <v>-30.06</v>
      </c>
    </row>
    <row r="303" spans="1:22" x14ac:dyDescent="0.25">
      <c r="A303" s="20" t="s">
        <v>11</v>
      </c>
      <c r="B303" s="7">
        <v>0</v>
      </c>
    </row>
    <row r="306" spans="1:3" ht="21" x14ac:dyDescent="0.35">
      <c r="A306" s="1" t="s">
        <v>86</v>
      </c>
    </row>
    <row r="307" spans="1:3" x14ac:dyDescent="0.25">
      <c r="A307" t="s">
        <v>7</v>
      </c>
      <c r="B307" s="16">
        <v>0.53100000000000003</v>
      </c>
      <c r="C307" s="16">
        <v>0.58499999999999996</v>
      </c>
    </row>
    <row r="308" spans="1:3" x14ac:dyDescent="0.25">
      <c r="A308" t="s">
        <v>24</v>
      </c>
      <c r="B308" s="16">
        <v>0.52300000000000002</v>
      </c>
      <c r="C308" s="16">
        <v>0.57699999999999996</v>
      </c>
    </row>
    <row r="309" spans="1:3" x14ac:dyDescent="0.25">
      <c r="A309" t="s">
        <v>25</v>
      </c>
      <c r="B309" s="16">
        <v>0.31900000000000001</v>
      </c>
      <c r="C309" s="16">
        <v>0.371</v>
      </c>
    </row>
    <row r="310" spans="1:3" x14ac:dyDescent="0.25">
      <c r="A310" t="s">
        <v>33</v>
      </c>
      <c r="B310" s="3">
        <v>0.56999999999999995</v>
      </c>
      <c r="C310" s="16">
        <v>0.624</v>
      </c>
    </row>
    <row r="311" spans="1:3" x14ac:dyDescent="0.25">
      <c r="A311" t="s">
        <v>63</v>
      </c>
      <c r="B311" s="16">
        <v>0.54700000000000004</v>
      </c>
      <c r="C311" s="16">
        <v>0.60099999999999998</v>
      </c>
    </row>
    <row r="312" spans="1:3" x14ac:dyDescent="0.25">
      <c r="A312" t="s">
        <v>87</v>
      </c>
      <c r="B312" s="16">
        <v>0.68300000000000005</v>
      </c>
      <c r="C312" s="16">
        <v>0.73299999999999998</v>
      </c>
    </row>
    <row r="314" spans="1:3" ht="21" x14ac:dyDescent="0.35">
      <c r="A314" s="1" t="s">
        <v>88</v>
      </c>
    </row>
    <row r="316" spans="1:3" x14ac:dyDescent="0.25">
      <c r="A316" s="5" t="s">
        <v>7</v>
      </c>
      <c r="B316" s="16">
        <v>2.68</v>
      </c>
    </row>
    <row r="318" spans="1:3" x14ac:dyDescent="0.25">
      <c r="A318" s="5" t="s">
        <v>29</v>
      </c>
    </row>
    <row r="319" spans="1:3" x14ac:dyDescent="0.25">
      <c r="A319" s="5" t="s">
        <v>5</v>
      </c>
      <c r="B319" s="16">
        <v>3.5999999999999999E-3</v>
      </c>
    </row>
    <row r="321" spans="1:2" x14ac:dyDescent="0.25">
      <c r="A321" s="21" t="s">
        <v>89</v>
      </c>
      <c r="B321" s="12"/>
    </row>
    <row r="324" spans="1:2" ht="21" x14ac:dyDescent="0.35">
      <c r="A324" s="1" t="s">
        <v>90</v>
      </c>
    </row>
    <row r="325" spans="1:2" x14ac:dyDescent="0.25">
      <c r="B325" s="16">
        <v>0.214</v>
      </c>
    </row>
    <row r="326" spans="1:2" x14ac:dyDescent="0.25">
      <c r="B326" s="16">
        <v>0.253</v>
      </c>
    </row>
    <row r="328" spans="1:2" ht="21" x14ac:dyDescent="0.35">
      <c r="A328" s="1" t="s">
        <v>91</v>
      </c>
    </row>
    <row r="329" spans="1:2" x14ac:dyDescent="0.25">
      <c r="B329" s="16">
        <v>11</v>
      </c>
    </row>
    <row r="331" spans="1:2" ht="21" x14ac:dyDescent="0.35">
      <c r="A331" s="1" t="s">
        <v>92</v>
      </c>
    </row>
    <row r="332" spans="1:2" x14ac:dyDescent="0.25">
      <c r="B332" s="16">
        <v>365</v>
      </c>
    </row>
    <row r="335" spans="1:2" ht="21" x14ac:dyDescent="0.35">
      <c r="A335" s="1" t="s">
        <v>93</v>
      </c>
    </row>
    <row r="337" spans="1:3" x14ac:dyDescent="0.25">
      <c r="A337" t="s">
        <v>94</v>
      </c>
      <c r="B337" t="s">
        <v>95</v>
      </c>
      <c r="C337" t="s">
        <v>96</v>
      </c>
    </row>
    <row r="338" spans="1:3" x14ac:dyDescent="0.25">
      <c r="A338">
        <v>40</v>
      </c>
      <c r="B338" s="4">
        <f>0.2/SQRT(0.55*0.45*2/A338)</f>
        <v>1.7978662999019788</v>
      </c>
      <c r="C338" s="7">
        <f>2*(1-NORMSDIST(B338))</f>
        <v>7.2198197701657696E-2</v>
      </c>
    </row>
    <row r="339" spans="1:3" x14ac:dyDescent="0.25">
      <c r="A339">
        <v>50</v>
      </c>
      <c r="B339" s="4">
        <f t="shared" ref="B339:B344" si="1">0.2/SQRT(0.55*0.45*2/A339)</f>
        <v>2.0100756305184242</v>
      </c>
      <c r="C339" s="7">
        <f t="shared" ref="C339:C344" si="2">2*(1-NORMSDIST(B339))</f>
        <v>4.442318485000607E-2</v>
      </c>
    </row>
    <row r="340" spans="1:3" x14ac:dyDescent="0.25">
      <c r="A340">
        <v>60</v>
      </c>
      <c r="B340" s="4">
        <f t="shared" si="1"/>
        <v>2.2019275302527213</v>
      </c>
      <c r="C340" s="7">
        <f t="shared" si="2"/>
        <v>2.7670427963097044E-2</v>
      </c>
    </row>
    <row r="341" spans="1:3" x14ac:dyDescent="0.25">
      <c r="A341">
        <v>80</v>
      </c>
      <c r="B341" s="4">
        <f t="shared" si="1"/>
        <v>2.5425669046549131</v>
      </c>
      <c r="C341" s="7">
        <f t="shared" si="2"/>
        <v>1.1004153176868758E-2</v>
      </c>
    </row>
    <row r="342" spans="1:3" x14ac:dyDescent="0.25">
      <c r="A342">
        <v>380</v>
      </c>
      <c r="B342" s="4">
        <f t="shared" si="1"/>
        <v>5.5413960972908907</v>
      </c>
      <c r="C342" s="7">
        <f t="shared" si="2"/>
        <v>3.0006960249906456E-8</v>
      </c>
    </row>
    <row r="343" spans="1:3" x14ac:dyDescent="0.25">
      <c r="A343">
        <v>480</v>
      </c>
      <c r="B343" s="4">
        <f t="shared" si="1"/>
        <v>6.227991553292183</v>
      </c>
      <c r="C343" s="7">
        <f t="shared" si="2"/>
        <v>4.7245252154937134E-10</v>
      </c>
    </row>
    <row r="344" spans="1:3" x14ac:dyDescent="0.25">
      <c r="A344">
        <v>980</v>
      </c>
      <c r="B344" s="4">
        <f t="shared" si="1"/>
        <v>8.8989841662921947</v>
      </c>
      <c r="C344" s="7">
        <f t="shared" si="2"/>
        <v>0</v>
      </c>
    </row>
    <row r="347" spans="1:3" ht="21" x14ac:dyDescent="0.35">
      <c r="A347" s="1" t="s">
        <v>97</v>
      </c>
    </row>
    <row r="349" spans="1:3" x14ac:dyDescent="0.25">
      <c r="A349" t="s">
        <v>94</v>
      </c>
      <c r="B349" t="s">
        <v>98</v>
      </c>
    </row>
    <row r="350" spans="1:3" x14ac:dyDescent="0.25">
      <c r="A350">
        <v>50</v>
      </c>
      <c r="B350" s="3">
        <f>-NORMSINV(0.025)*SQRT(0.7*0.3+0.5*0.5)/SQRT(A350)</f>
        <v>0.18799314123229585</v>
      </c>
    </row>
    <row r="351" spans="1:3" x14ac:dyDescent="0.25">
      <c r="A351">
        <v>60</v>
      </c>
      <c r="B351" s="3">
        <f t="shared" ref="B351:B356" si="3">-NORMSINV(0.025)*SQRT(0.7*0.3+0.5*0.5)/SQRT(A351)</f>
        <v>0.17161347351530498</v>
      </c>
    </row>
    <row r="352" spans="1:3" x14ac:dyDescent="0.25">
      <c r="A352">
        <v>70</v>
      </c>
      <c r="B352" s="3">
        <f t="shared" si="3"/>
        <v>0.15888320317225377</v>
      </c>
    </row>
    <row r="353" spans="1:3" x14ac:dyDescent="0.25">
      <c r="A353">
        <v>90</v>
      </c>
      <c r="B353" s="3">
        <f t="shared" si="3"/>
        <v>0.14012181436637738</v>
      </c>
    </row>
    <row r="354" spans="1:3" x14ac:dyDescent="0.25">
      <c r="A354">
        <v>390</v>
      </c>
      <c r="B354" s="3">
        <f t="shared" si="3"/>
        <v>6.7312342326921445E-2</v>
      </c>
    </row>
    <row r="355" spans="1:3" x14ac:dyDescent="0.25">
      <c r="A355">
        <v>490</v>
      </c>
      <c r="B355" s="3">
        <f t="shared" si="3"/>
        <v>6.0052206157018881E-2</v>
      </c>
    </row>
    <row r="356" spans="1:3" x14ac:dyDescent="0.25">
      <c r="A356">
        <v>990</v>
      </c>
      <c r="B356" s="3">
        <f t="shared" si="3"/>
        <v>4.2248316654282241E-2</v>
      </c>
    </row>
    <row r="358" spans="1:3" x14ac:dyDescent="0.25">
      <c r="A358" s="8" t="s">
        <v>99</v>
      </c>
      <c r="B358" s="8"/>
    </row>
    <row r="361" spans="1:3" ht="21" x14ac:dyDescent="0.35">
      <c r="A361" s="1" t="s">
        <v>100</v>
      </c>
    </row>
    <row r="364" spans="1:3" x14ac:dyDescent="0.25">
      <c r="A364" t="s">
        <v>101</v>
      </c>
      <c r="B364" s="3">
        <f>302/533</f>
        <v>0.56660412757973733</v>
      </c>
    </row>
    <row r="365" spans="1:3" x14ac:dyDescent="0.25">
      <c r="A365" t="s">
        <v>102</v>
      </c>
      <c r="B365" s="3">
        <f>975/1963</f>
        <v>0.49668874172185429</v>
      </c>
    </row>
    <row r="367" spans="1:3" x14ac:dyDescent="0.25">
      <c r="A367" s="18">
        <v>0.95</v>
      </c>
    </row>
    <row r="368" spans="1:3" x14ac:dyDescent="0.25">
      <c r="B368" s="8">
        <v>2.1999999999999999E-2</v>
      </c>
      <c r="C368" s="8">
        <v>0.11700000000000001</v>
      </c>
    </row>
    <row r="370" spans="1:3" ht="21" x14ac:dyDescent="0.35">
      <c r="A370" s="1" t="s">
        <v>103</v>
      </c>
    </row>
    <row r="373" spans="1:3" x14ac:dyDescent="0.25">
      <c r="A373" t="s">
        <v>95</v>
      </c>
      <c r="B373" s="4">
        <v>4.2</v>
      </c>
    </row>
    <row r="374" spans="1:3" x14ac:dyDescent="0.25">
      <c r="A374" t="s">
        <v>11</v>
      </c>
      <c r="B374" s="13">
        <v>0</v>
      </c>
    </row>
    <row r="376" spans="1:3" x14ac:dyDescent="0.25">
      <c r="A376" t="s">
        <v>104</v>
      </c>
    </row>
    <row r="377" spans="1:3" x14ac:dyDescent="0.25">
      <c r="B377" s="8">
        <v>3.7499999999999999E-2</v>
      </c>
      <c r="C377" s="8">
        <v>0.10249999999999999</v>
      </c>
    </row>
    <row r="380" spans="1:3" ht="21" x14ac:dyDescent="0.35">
      <c r="A380" s="1" t="s">
        <v>105</v>
      </c>
    </row>
    <row r="382" spans="1:3" x14ac:dyDescent="0.25">
      <c r="A382" t="s">
        <v>106</v>
      </c>
    </row>
    <row r="383" spans="1:3" x14ac:dyDescent="0.25">
      <c r="A383" t="s">
        <v>4</v>
      </c>
      <c r="B383" s="16">
        <v>6.59</v>
      </c>
    </row>
    <row r="384" spans="1:3" x14ac:dyDescent="0.25">
      <c r="A384" t="s">
        <v>107</v>
      </c>
      <c r="B384" s="16">
        <v>8.4699999999999998E-2</v>
      </c>
      <c r="C384" s="16">
        <v>0.15529999999999999</v>
      </c>
    </row>
    <row r="387" spans="1:3" x14ac:dyDescent="0.25">
      <c r="A387" t="s">
        <v>108</v>
      </c>
    </row>
    <row r="388" spans="1:3" x14ac:dyDescent="0.25">
      <c r="A388" t="s">
        <v>4</v>
      </c>
      <c r="B388" s="16">
        <v>8.33</v>
      </c>
    </row>
    <row r="389" spans="1:3" x14ac:dyDescent="0.25">
      <c r="A389" t="s">
        <v>107</v>
      </c>
      <c r="B389" s="16">
        <v>9.2100000000000001E-2</v>
      </c>
      <c r="C389" s="16">
        <v>0.1479</v>
      </c>
    </row>
    <row r="392" spans="1:3" x14ac:dyDescent="0.25">
      <c r="A392" t="s">
        <v>109</v>
      </c>
    </row>
    <row r="393" spans="1:3" x14ac:dyDescent="0.25">
      <c r="A393" t="s">
        <v>4</v>
      </c>
      <c r="B393" s="4">
        <v>7.5</v>
      </c>
    </row>
    <row r="394" spans="1:3" x14ac:dyDescent="0.25">
      <c r="A394" t="s">
        <v>107</v>
      </c>
      <c r="B394" s="16">
        <v>8.7400000000000005E-2</v>
      </c>
      <c r="C394" s="16">
        <v>0.15260000000000001</v>
      </c>
    </row>
    <row r="397" spans="1:3" ht="21" x14ac:dyDescent="0.35">
      <c r="A397" s="1" t="s">
        <v>110</v>
      </c>
    </row>
    <row r="399" spans="1:3" x14ac:dyDescent="0.25">
      <c r="A399" t="s">
        <v>111</v>
      </c>
    </row>
    <row r="400" spans="1:3" x14ac:dyDescent="0.25">
      <c r="B400" s="16">
        <v>124</v>
      </c>
      <c r="C400" t="s">
        <v>112</v>
      </c>
    </row>
    <row r="401" spans="1:20" x14ac:dyDescent="0.25">
      <c r="B401" s="16">
        <v>159</v>
      </c>
      <c r="C401" t="s">
        <v>113</v>
      </c>
    </row>
    <row r="402" spans="1:20" x14ac:dyDescent="0.25">
      <c r="S402" s="25">
        <v>0.28199999999999992</v>
      </c>
      <c r="T402" s="26" t="s">
        <v>119</v>
      </c>
    </row>
    <row r="403" spans="1:20" x14ac:dyDescent="0.25">
      <c r="A403" t="s">
        <v>114</v>
      </c>
      <c r="S403" s="25">
        <v>0</v>
      </c>
      <c r="T403" s="26" t="s">
        <v>120</v>
      </c>
    </row>
    <row r="404" spans="1:20" x14ac:dyDescent="0.25">
      <c r="A404" t="s">
        <v>4</v>
      </c>
      <c r="B404" s="4">
        <v>6.1</v>
      </c>
      <c r="S404" s="25">
        <v>4.6103214995422151E-2</v>
      </c>
      <c r="T404" s="26" t="s">
        <v>121</v>
      </c>
    </row>
    <row r="405" spans="1:20" x14ac:dyDescent="0.25">
      <c r="A405" t="s">
        <v>11</v>
      </c>
      <c r="B405" s="13">
        <v>0</v>
      </c>
      <c r="S405" s="27">
        <v>6.1167100825398251</v>
      </c>
      <c r="T405" s="26" t="s">
        <v>122</v>
      </c>
    </row>
    <row r="406" spans="1:20" x14ac:dyDescent="0.25">
      <c r="S406" s="25">
        <v>0.21091919981046492</v>
      </c>
      <c r="T406" s="26" t="s">
        <v>116</v>
      </c>
    </row>
    <row r="407" spans="1:20" x14ac:dyDescent="0.25">
      <c r="A407" t="s">
        <v>115</v>
      </c>
      <c r="S407" s="25">
        <v>0.35308080018953492</v>
      </c>
      <c r="T407" s="26" t="s">
        <v>117</v>
      </c>
    </row>
    <row r="408" spans="1:20" x14ac:dyDescent="0.25">
      <c r="A408" t="s">
        <v>107</v>
      </c>
      <c r="B408" s="3">
        <v>0.21</v>
      </c>
      <c r="C408" s="3">
        <v>0.35199999999999998</v>
      </c>
      <c r="S408" s="25">
        <v>7.1080800189534984E-2</v>
      </c>
      <c r="T408" s="26" t="s">
        <v>118</v>
      </c>
    </row>
    <row r="411" spans="1:20" ht="21" x14ac:dyDescent="0.35">
      <c r="A411" s="1" t="s">
        <v>124</v>
      </c>
      <c r="B411" s="23"/>
      <c r="C411" s="23"/>
    </row>
    <row r="412" spans="1:20" x14ac:dyDescent="0.25">
      <c r="A412" s="23"/>
      <c r="B412" s="23"/>
      <c r="C412" s="23"/>
    </row>
    <row r="413" spans="1:20" x14ac:dyDescent="0.25">
      <c r="A413" s="23" t="s">
        <v>123</v>
      </c>
      <c r="B413" s="23"/>
      <c r="C413" s="23"/>
    </row>
    <row r="414" spans="1:20" x14ac:dyDescent="0.25">
      <c r="A414" s="23" t="s">
        <v>4</v>
      </c>
      <c r="B414" s="4">
        <v>10.130000000000001</v>
      </c>
      <c r="C414" s="23"/>
    </row>
    <row r="415" spans="1:20" x14ac:dyDescent="0.25">
      <c r="A415" s="23" t="s">
        <v>11</v>
      </c>
      <c r="B415" s="13">
        <v>0</v>
      </c>
      <c r="C415" s="23"/>
    </row>
    <row r="416" spans="1:20" x14ac:dyDescent="0.25">
      <c r="A416" s="23"/>
      <c r="B416" s="23"/>
      <c r="C416" s="23"/>
    </row>
    <row r="417" spans="1:3" x14ac:dyDescent="0.25">
      <c r="A417" s="23" t="s">
        <v>115</v>
      </c>
      <c r="B417" s="23"/>
      <c r="C417" s="23"/>
    </row>
    <row r="418" spans="1:3" x14ac:dyDescent="0.25">
      <c r="A418" s="23" t="s">
        <v>107</v>
      </c>
      <c r="B418" s="3">
        <v>0.41799999999999998</v>
      </c>
      <c r="C418" s="3">
        <v>0.60199999999999998</v>
      </c>
    </row>
  </sheetData>
  <sortState ref="S69:T78">
    <sortCondition ref="S69:S78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2018-03-30T16:25:12Z</dcterms:created>
  <dcterms:modified xsi:type="dcterms:W3CDTF">2018-03-30T22:33:47Z</dcterms:modified>
</cp:coreProperties>
</file>